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16" yWindow="65281" windowWidth="5700" windowHeight="3405" activeTab="3"/>
  </bookViews>
  <sheets>
    <sheet name="Gerade" sheetId="1" r:id="rId1"/>
    <sheet name="exponentiell" sheetId="2" r:id="rId2"/>
    <sheet name="PotenzAlternat" sheetId="3" r:id="rId3"/>
    <sheet name="Potenzgesetz" sheetId="4" r:id="rId4"/>
  </sheets>
  <definedNames>
    <definedName name="a">'Potenzgesetz'!$C$20</definedName>
    <definedName name="b">'Gerade'!$C$17</definedName>
    <definedName name="bexp">'exponentiell'!$C$17</definedName>
    <definedName name="bpot">'Potenzgesetz'!$C$17</definedName>
    <definedName name="_xlnm.Print_Area" localSheetId="1">'exponentiell'!$A$1:$L$30</definedName>
    <definedName name="_xlnm.Print_Area" localSheetId="0">'Gerade'!$A$1:$I$31</definedName>
    <definedName name="_xlnm.Print_Area" localSheetId="2">'PotenzAlternat'!$A$1:$I$45</definedName>
    <definedName name="_xlnm.Print_Area" localSheetId="3">'Potenzgesetz'!$A$1:$L$29</definedName>
    <definedName name="i">'Gerade'!$A$5:$A$8</definedName>
    <definedName name="m">'Gerade'!$B$17</definedName>
    <definedName name="mexp">'exponentiell'!$B$17</definedName>
    <definedName name="mp">'PotenzAlternat'!$I$15</definedName>
    <definedName name="mpot">'Potenzgesetz'!$B$17</definedName>
    <definedName name="n">'Gerade'!$A$9</definedName>
    <definedName name="p">'Potenzgesetz'!$B$20</definedName>
    <definedName name="sw">'Potenzgesetz'!$G$13</definedName>
    <definedName name="sw_2">'Potenzgesetz'!$G$11</definedName>
    <definedName name="swz">'Potenzgesetz'!$J$11</definedName>
    <definedName name="sx">'Gerade'!$E$13</definedName>
    <definedName name="sx_2">'Gerade'!$E$11</definedName>
    <definedName name="sxy">'Gerade'!$H$11</definedName>
    <definedName name="sxz">'exponentiell'!$I$11</definedName>
    <definedName name="sy">'Gerade'!$G$13</definedName>
    <definedName name="sy_2">'Gerade'!$G$11</definedName>
    <definedName name="sz">'exponentiell'!$H$13</definedName>
    <definedName name="sz_2">'exponentiell'!$H$11</definedName>
    <definedName name="wi">'Potenzgesetz'!$D$5:$D$8</definedName>
    <definedName name="wq">'Potenzgesetz'!$D$11</definedName>
    <definedName name="xi">'Gerade'!$B$5:$B$8</definedName>
    <definedName name="xq">'Gerade'!$B$11</definedName>
    <definedName name="y0">'exponentiell'!$C$20</definedName>
    <definedName name="yi">'Gerade'!$C$5:$C$8</definedName>
    <definedName name="yq">'Gerade'!$C$11</definedName>
    <definedName name="zi">'exponentiell'!$D$5:$D$8</definedName>
    <definedName name="zq">'exponentiell'!$D$11</definedName>
  </definedNames>
  <calcPr fullCalcOnLoad="1"/>
</workbook>
</file>

<file path=xl/comments1.xml><?xml version="1.0" encoding="utf-8"?>
<comments xmlns="http://schemas.openxmlformats.org/spreadsheetml/2006/main">
  <authors>
    <author>Dr. D?rte Haftendorn</author>
  </authors>
  <commentList>
    <comment ref="A9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n</t>
        </r>
      </text>
    </comment>
    <comment ref="B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xq</t>
        </r>
      </text>
    </comment>
    <comment ref="C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yq</t>
        </r>
      </text>
    </comment>
  </commentList>
</comments>
</file>

<file path=xl/comments2.xml><?xml version="1.0" encoding="utf-8"?>
<comments xmlns="http://schemas.openxmlformats.org/spreadsheetml/2006/main">
  <authors>
    <author>Dr. D?rte Haftendorn</author>
  </authors>
  <commentList>
    <comment ref="A9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n</t>
        </r>
      </text>
    </comment>
    <comment ref="B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xq</t>
        </r>
      </text>
    </comment>
    <comment ref="C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yq</t>
        </r>
      </text>
    </comment>
    <comment ref="D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zq</t>
        </r>
      </text>
    </comment>
  </commentList>
</comments>
</file>

<file path=xl/comments4.xml><?xml version="1.0" encoding="utf-8"?>
<comments xmlns="http://schemas.openxmlformats.org/spreadsheetml/2006/main">
  <authors>
    <author>Dr. D?rte Haftendorn</author>
  </authors>
  <commentList>
    <comment ref="C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yq</t>
        </r>
      </text>
    </comment>
    <comment ref="E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zq</t>
        </r>
      </text>
    </comment>
  </commentList>
</comments>
</file>

<file path=xl/sharedStrings.xml><?xml version="1.0" encoding="utf-8"?>
<sst xmlns="http://schemas.openxmlformats.org/spreadsheetml/2006/main" count="137" uniqueCount="76">
  <si>
    <t>i</t>
  </si>
  <si>
    <t>xi</t>
  </si>
  <si>
    <t>yi</t>
  </si>
  <si>
    <t>xi-xq</t>
  </si>
  <si>
    <t>(xi-xq)^2</t>
  </si>
  <si>
    <t>yi-yq</t>
  </si>
  <si>
    <t>(yi-yq)^2</t>
  </si>
  <si>
    <t>xq</t>
  </si>
  <si>
    <t>yq</t>
  </si>
  <si>
    <t>sx</t>
  </si>
  <si>
    <t>sy</t>
  </si>
  <si>
    <t>sx^2</t>
  </si>
  <si>
    <t>sy^2</t>
  </si>
  <si>
    <t>r</t>
  </si>
  <si>
    <t>(xi-xq)*(yi-yq)</t>
  </si>
  <si>
    <t>sxy</t>
  </si>
  <si>
    <t>Lineare Korrelation</t>
  </si>
  <si>
    <t>m</t>
  </si>
  <si>
    <t>b</t>
  </si>
  <si>
    <t>Gerade</t>
  </si>
  <si>
    <t>y=</t>
  </si>
  <si>
    <t>ln(yi)</t>
  </si>
  <si>
    <t>zi</t>
  </si>
  <si>
    <t>zq</t>
  </si>
  <si>
    <t>zi-zq</t>
  </si>
  <si>
    <t>(zi-zq)^2</t>
  </si>
  <si>
    <t>sz^2</t>
  </si>
  <si>
    <t>sz</t>
  </si>
  <si>
    <t>(xi-xq)*(zi-zq)</t>
  </si>
  <si>
    <t>sxz</t>
  </si>
  <si>
    <t>m*x+b</t>
  </si>
  <si>
    <t>mexp</t>
  </si>
  <si>
    <t>expon. Korrelation</t>
  </si>
  <si>
    <t>bexp</t>
  </si>
  <si>
    <t>z=</t>
  </si>
  <si>
    <t>mexp*x+bexp</t>
  </si>
  <si>
    <t>exponentielles Gesetz</t>
  </si>
  <si>
    <t>y0*e^(k*x)</t>
  </si>
  <si>
    <t>y0</t>
  </si>
  <si>
    <t>k</t>
  </si>
  <si>
    <t>exp.-Fkt</t>
  </si>
  <si>
    <r>
      <t xml:space="preserve">xi, yi sind </t>
    </r>
    <r>
      <rPr>
        <b/>
        <sz val="12"/>
        <rFont val="Arial"/>
        <family val="2"/>
      </rPr>
      <t xml:space="preserve"> Messdaten,</t>
    </r>
    <r>
      <rPr>
        <sz val="12"/>
        <rFont val="Arial"/>
        <family val="0"/>
      </rPr>
      <t xml:space="preserve"> nur auf </t>
    </r>
    <r>
      <rPr>
        <b/>
        <sz val="12"/>
        <rFont val="Arial"/>
        <family val="2"/>
      </rPr>
      <t>diesem</t>
    </r>
    <r>
      <rPr>
        <sz val="12"/>
        <rFont val="Arial"/>
        <family val="0"/>
      </rPr>
      <t xml:space="preserve"> Blatt ändern!!!</t>
    </r>
  </si>
  <si>
    <r>
      <t xml:space="preserve">xi, yi sind </t>
    </r>
    <r>
      <rPr>
        <b/>
        <sz val="12"/>
        <rFont val="Arial"/>
        <family val="2"/>
      </rPr>
      <t xml:space="preserve"> Messdaten,</t>
    </r>
    <r>
      <rPr>
        <sz val="12"/>
        <rFont val="Arial"/>
        <family val="0"/>
      </rPr>
      <t xml:space="preserve"> nur auf </t>
    </r>
    <r>
      <rPr>
        <b/>
        <sz val="12"/>
        <rFont val="Arial"/>
        <family val="2"/>
      </rPr>
      <t>erstem</t>
    </r>
    <r>
      <rPr>
        <sz val="12"/>
        <rFont val="Arial"/>
        <family val="0"/>
      </rPr>
      <t xml:space="preserve"> Blatt mit Namen  "Gerade" ändern!!!</t>
    </r>
  </si>
  <si>
    <t>wi</t>
  </si>
  <si>
    <t>wq</t>
  </si>
  <si>
    <t>wi-wq</t>
  </si>
  <si>
    <t>(wi-wq)*(zi-zq)</t>
  </si>
  <si>
    <t>(wi-wq)^2</t>
  </si>
  <si>
    <t>swz</t>
  </si>
  <si>
    <t>sw^2</t>
  </si>
  <si>
    <t>mpot</t>
  </si>
  <si>
    <t>bpot</t>
  </si>
  <si>
    <t>Potenz-Gesetz</t>
  </si>
  <si>
    <t>p</t>
  </si>
  <si>
    <t>ln(bpot)</t>
  </si>
  <si>
    <t>a</t>
  </si>
  <si>
    <t>Potenz-Fkt</t>
  </si>
  <si>
    <t>sw</t>
  </si>
  <si>
    <t>mpot*w+bpot</t>
  </si>
  <si>
    <t>Potenz.-  Korrelation</t>
  </si>
  <si>
    <t>a*x^p</t>
  </si>
  <si>
    <t>Prof. Dr. Haftendorn 11/00</t>
  </si>
  <si>
    <t>Ausgleichskurven, Doppelt-logarithmisch</t>
  </si>
  <si>
    <t>Ausgleichskurven, einfach-logarithmisch</t>
  </si>
  <si>
    <t>Ausgleichskurven, drei Arten</t>
  </si>
  <si>
    <t>Die einfach- und doppelt-logarithmische Darstellung sind auf den folgenden Seiten.</t>
  </si>
  <si>
    <t>Fkt auspobieren</t>
  </si>
  <si>
    <t>wi^2</t>
  </si>
  <si>
    <t>wi*zi</t>
  </si>
  <si>
    <t>mp</t>
  </si>
  <si>
    <t>bp</t>
  </si>
  <si>
    <t>Ausgleichskurven, Doppelt-logarithmisch. Ohne Korrelation</t>
  </si>
  <si>
    <t>xi, yi sind  Messdaten, nur auf erstem Blatt mit Namen  "Gerade" ändern!!!</t>
  </si>
  <si>
    <t>e^(bexp)</t>
  </si>
  <si>
    <t>Prof. Dr. Haftendorn 1/02</t>
  </si>
  <si>
    <t>vom anderen Blatt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</si>
</sst>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"/>
    <numFmt numFmtId="166" formatCode="0.000"/>
    <numFmt numFmtId="167" formatCode="0.00000"/>
    <numFmt numFmtId="168" formatCode="#\ ?/100"/>
    <numFmt numFmtId="169" formatCode="_-* #,##0.000000\ _D_M_-;\-* #,##0.000000\ _D_M_-;_-* &quot;-&quot;??????\ _D_M_-;_-@_-"/>
    <numFmt numFmtId="170" formatCode="#,##0.0000_ ;\-#,##0.0000\ "/>
  </numFmts>
  <fonts count="22">
    <font>
      <sz val="12"/>
      <name val="Arial"/>
      <family val="0"/>
    </font>
    <font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.75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16.5"/>
      <name val="Arial"/>
      <family val="0"/>
    </font>
    <font>
      <b/>
      <sz val="11"/>
      <name val="Arial"/>
      <family val="2"/>
    </font>
    <font>
      <sz val="11.75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9.75"/>
      <name val="Arial"/>
      <family val="2"/>
    </font>
    <font>
      <b/>
      <sz val="10"/>
      <name val="Arial"/>
      <family val="2"/>
    </font>
    <font>
      <sz val="11.5"/>
      <name val="Arial"/>
      <family val="0"/>
    </font>
    <font>
      <b/>
      <sz val="9.25"/>
      <name val="Arial"/>
      <family val="2"/>
    </font>
    <font>
      <sz val="8.25"/>
      <name val="Arial"/>
      <family val="0"/>
    </font>
    <font>
      <sz val="8"/>
      <name val="Arial"/>
      <family val="0"/>
    </font>
    <font>
      <b/>
      <sz val="8.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NumberFormat="1" applyFill="1" applyAlignment="1" applyProtection="1">
      <alignment horizontal="center"/>
      <protection locked="0"/>
    </xf>
    <xf numFmtId="0" fontId="0" fillId="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3" borderId="0" xfId="0" applyNumberFormat="1" applyFill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164" fontId="0" fillId="2" borderId="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" borderId="0" xfId="0" applyFill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Daten und Ausgleichsgerade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4075"/>
          <c:w val="0.949"/>
          <c:h val="0.83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Gerade!$B$5:$B$8</c:f>
              <c:numCache/>
            </c:numRef>
          </c:xVal>
          <c:yVal>
            <c:numRef>
              <c:f>Gerade!$C$5:$C$8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/>
            </c:numRef>
          </c:xVal>
          <c:yVal>
            <c:numRef>
              <c:f>Gerade!$I$5:$I$8</c:f>
              <c:numCache/>
            </c:numRef>
          </c:yVal>
          <c:smooth val="1"/>
        </c:ser>
        <c:axId val="23824227"/>
        <c:axId val="13091452"/>
      </c:scatterChart>
      <c:valAx>
        <c:axId val="2382422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091452"/>
        <c:crosses val="autoZero"/>
        <c:crossBetween val="midCat"/>
        <c:dispUnits/>
        <c:majorUnit val="1"/>
        <c:minorUnit val="0.5"/>
      </c:valAx>
      <c:valAx>
        <c:axId val="13091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24227"/>
        <c:crosses val="autoZero"/>
        <c:crossBetween val="midCat"/>
        <c:dispUnits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Daten und Exp. Gesetz, Original-Einheiten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1125"/>
          <c:w val="0.93725"/>
          <c:h val="0.73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[0]!yi</c:f>
              <c:numCache>
                <c:ptCount val="4"/>
                <c:pt idx="0">
                  <c:v>100</c:v>
                </c:pt>
                <c:pt idx="1">
                  <c:v>230</c:v>
                </c:pt>
                <c:pt idx="2">
                  <c:v>380</c:v>
                </c:pt>
                <c:pt idx="3">
                  <c:v>600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exponentiell!$K$5:$K$8</c:f>
              <c:numCache/>
            </c:numRef>
          </c:yVal>
          <c:smooth val="1"/>
        </c:ser>
        <c:axId val="50714205"/>
        <c:axId val="53774662"/>
      </c:scatterChart>
      <c:valAx>
        <c:axId val="5071420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774662"/>
        <c:crosses val="autoZero"/>
        <c:crossBetween val="midCat"/>
        <c:dispUnits/>
        <c:majorUnit val="1"/>
        <c:minorUnit val="0.5"/>
      </c:valAx>
      <c:valAx>
        <c:axId val="53774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14205"/>
        <c:crosses val="autoZero"/>
        <c:crossBetween val="midCat"/>
        <c:dispUnits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einfach-log.-Daten und Gerade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4925"/>
          <c:w val="0.933"/>
          <c:h val="0.85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[0]!zi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exponentiell!$J$5:$J$8</c:f>
              <c:numCache/>
            </c:numRef>
          </c:yVal>
          <c:smooth val="1"/>
        </c:ser>
        <c:axId val="14209911"/>
        <c:axId val="60780336"/>
      </c:scatterChart>
      <c:valAx>
        <c:axId val="1420991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780336"/>
        <c:crosses val="autoZero"/>
        <c:crossBetween val="midCat"/>
        <c:dispUnits/>
      </c:valAx>
      <c:valAx>
        <c:axId val="60780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099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Daten und Exp. Gesetz, Orig-Einheiten in einf.log-Skalierung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20425"/>
          <c:w val="0.9415"/>
          <c:h val="0.74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[0]!yi</c:f>
              <c:numCache>
                <c:ptCount val="4"/>
                <c:pt idx="0">
                  <c:v>100</c:v>
                </c:pt>
                <c:pt idx="1">
                  <c:v>230</c:v>
                </c:pt>
                <c:pt idx="2">
                  <c:v>380</c:v>
                </c:pt>
                <c:pt idx="3">
                  <c:v>600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exponentiell!$K$5:$K$8</c:f>
              <c:numCache/>
            </c:numRef>
          </c:yVal>
          <c:smooth val="1"/>
        </c:ser>
        <c:axId val="10152113"/>
        <c:axId val="24260154"/>
      </c:scatterChart>
      <c:valAx>
        <c:axId val="1015211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260154"/>
        <c:crosses val="autoZero"/>
        <c:crossBetween val="midCat"/>
        <c:dispUnits/>
        <c:majorUnit val="1"/>
        <c:minorUnit val="0.5"/>
      </c:valAx>
      <c:valAx>
        <c:axId val="24260154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crossAx val="10152113"/>
        <c:crosses val="autoZero"/>
        <c:crossBetween val="midCat"/>
        <c:dispUnits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PotenzAlternat!$B$5:$B$8</c:f>
              <c:numCache/>
            </c:numRef>
          </c:xVal>
          <c:yVal>
            <c:numRef>
              <c:f>PotenzAlternat!$C$5:$C$8</c:f>
              <c:numCache/>
            </c:numRef>
          </c:yVal>
          <c:smooth val="0"/>
        </c:ser>
        <c:axId val="17014795"/>
        <c:axId val="18915428"/>
      </c:scatterChart>
      <c:valAx>
        <c:axId val="1701479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915428"/>
        <c:crosses val="autoZero"/>
        <c:crossBetween val="midCat"/>
        <c:dispUnits/>
      </c:valAx>
      <c:valAx>
        <c:axId val="18915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14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doppelt-log-Daten und Gerade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2"/>
          <c:w val="0.91875"/>
          <c:h val="0.87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Potenzgesetz!$D$5:$D$8</c:f>
              <c:numCache>
                <c:ptCount val="4"/>
                <c:pt idx="0">
                  <c:v>2.995732273553991</c:v>
                </c:pt>
                <c:pt idx="1">
                  <c:v>3.4011973816621555</c:v>
                </c:pt>
                <c:pt idx="2">
                  <c:v>3.6888794541139363</c:v>
                </c:pt>
                <c:pt idx="3">
                  <c:v>3.912023005428146</c:v>
                </c:pt>
              </c:numCache>
            </c:numRef>
          </c:xVal>
          <c:yVal>
            <c:numRef>
              <c:f>Potenzgesetz!$E$5:$E$8</c:f>
              <c:numCache>
                <c:ptCount val="4"/>
                <c:pt idx="0">
                  <c:v>4.605170185988092</c:v>
                </c:pt>
                <c:pt idx="1">
                  <c:v>5.438079308923196</c:v>
                </c:pt>
                <c:pt idx="2">
                  <c:v>5.940171252720432</c:v>
                </c:pt>
                <c:pt idx="3">
                  <c:v>6.396929655216146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Potenzgesetz!$D$5:$D$8</c:f>
              <c:numCache>
                <c:ptCount val="4"/>
                <c:pt idx="0">
                  <c:v>2.995732273553991</c:v>
                </c:pt>
                <c:pt idx="1">
                  <c:v>3.4011973816621555</c:v>
                </c:pt>
                <c:pt idx="2">
                  <c:v>3.6888794541139363</c:v>
                </c:pt>
                <c:pt idx="3">
                  <c:v>3.912023005428146</c:v>
                </c:pt>
              </c:numCache>
            </c:numRef>
          </c:xVal>
          <c:yVal>
            <c:numRef>
              <c:f>Potenzgesetz!$K$5:$K$8</c:f>
              <c:numCache>
                <c:ptCount val="4"/>
                <c:pt idx="0">
                  <c:v>4.618447954672696</c:v>
                </c:pt>
                <c:pt idx="1">
                  <c:v>5.404576707524454</c:v>
                </c:pt>
                <c:pt idx="2">
                  <c:v>5.962343934128812</c:v>
                </c:pt>
                <c:pt idx="3">
                  <c:v>6.394981806521905</c:v>
                </c:pt>
              </c:numCache>
            </c:numRef>
          </c:yVal>
          <c:smooth val="1"/>
        </c:ser>
        <c:axId val="36021125"/>
        <c:axId val="55754670"/>
      </c:scatterChart>
      <c:valAx>
        <c:axId val="3602112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754670"/>
        <c:crosses val="autoZero"/>
        <c:crossBetween val="midCat"/>
        <c:dispUnits/>
      </c:valAx>
      <c:valAx>
        <c:axId val="55754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21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Daten und Potenzgesetz, Originaleinheiten</a:t>
            </a:r>
          </a:p>
        </c:rich>
      </c:tx>
      <c:layout>
        <c:manualLayout>
          <c:xMode val="factor"/>
          <c:yMode val="factor"/>
          <c:x val="-0.104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5425"/>
          <c:w val="0.92275"/>
          <c:h val="0.8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[0]!yi</c:f>
              <c:numCache>
                <c:ptCount val="4"/>
                <c:pt idx="0">
                  <c:v>100</c:v>
                </c:pt>
                <c:pt idx="1">
                  <c:v>230</c:v>
                </c:pt>
                <c:pt idx="2">
                  <c:v>380</c:v>
                </c:pt>
                <c:pt idx="3">
                  <c:v>600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Potenzgesetz!$L$5:$L$8</c:f>
              <c:numCache/>
            </c:numRef>
          </c:yVal>
          <c:smooth val="1"/>
        </c:ser>
        <c:axId val="32029983"/>
        <c:axId val="19834392"/>
      </c:scatterChart>
      <c:valAx>
        <c:axId val="3202998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834392"/>
        <c:crosses val="autoZero"/>
        <c:crossBetween val="midCat"/>
        <c:dispUnits/>
        <c:majorUnit val="1"/>
        <c:minorUnit val="0.5"/>
      </c:valAx>
      <c:valAx>
        <c:axId val="19834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29983"/>
        <c:crosses val="autoZero"/>
        <c:crossBetween val="midCat"/>
        <c:dispUnits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Daten und Potenzgesetz, Orig. Einh. ,doppelt-log-Skalierung</a:t>
            </a:r>
          </a:p>
        </c:rich>
      </c:tx>
      <c:layout>
        <c:manualLayout>
          <c:xMode val="factor"/>
          <c:yMode val="factor"/>
          <c:x val="-0.01725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11"/>
          <c:w val="0.94225"/>
          <c:h val="0.7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Potenzgesetz!$C$5:$C$8</c:f>
              <c:numCache/>
            </c:numRef>
          </c:yVal>
          <c:smooth val="0"/>
        </c:ser>
        <c:axId val="44291801"/>
        <c:axId val="63081890"/>
      </c:scatterChart>
      <c:valAx>
        <c:axId val="44291801"/>
        <c:scaling>
          <c:logBase val="10"/>
          <c:orientation val="minMax"/>
          <c:max val="10"/>
          <c:min val="1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081890"/>
        <c:crosses val="autoZero"/>
        <c:crossBetween val="midCat"/>
        <c:dispUnits/>
        <c:majorUnit val="10"/>
        <c:minorUnit val="10"/>
      </c:valAx>
      <c:valAx>
        <c:axId val="63081890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291801"/>
        <c:crosses val="autoZero"/>
        <c:crossBetween val="midCat"/>
        <c:dispUnits/>
        <c:majorUnit val="10"/>
        <c:minorUnit val="10"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doppelt-log-Daten und Gerade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25"/>
          <c:w val="0.91325"/>
          <c:h val="0.84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Potenzgesetz!$D$5:$D$8</c:f>
              <c:numCache/>
            </c:numRef>
          </c:xVal>
          <c:yVal>
            <c:numRef>
              <c:f>Potenzgesetz!$E$5:$E$8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Potenzgesetz!$D$5:$D$8</c:f>
              <c:numCache/>
            </c:numRef>
          </c:xVal>
          <c:yVal>
            <c:numRef>
              <c:f>Potenzgesetz!$K$5:$K$8</c:f>
              <c:numCache/>
            </c:numRef>
          </c:yVal>
          <c:smooth val="1"/>
        </c:ser>
        <c:axId val="30866099"/>
        <c:axId val="9359436"/>
      </c:scatterChart>
      <c:valAx>
        <c:axId val="3086609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359436"/>
        <c:crosses val="autoZero"/>
        <c:crossBetween val="midCat"/>
        <c:dispUnits/>
      </c:valAx>
      <c:valAx>
        <c:axId val="9359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66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95250</xdr:rowOff>
    </xdr:from>
    <xdr:to>
      <xdr:col>8</xdr:col>
      <xdr:colOff>552450</xdr:colOff>
      <xdr:row>30</xdr:row>
      <xdr:rowOff>66675</xdr:rowOff>
    </xdr:to>
    <xdr:graphicFrame>
      <xdr:nvGraphicFramePr>
        <xdr:cNvPr id="1" name="Chart 14"/>
        <xdr:cNvGraphicFramePr/>
      </xdr:nvGraphicFramePr>
      <xdr:xfrm>
        <a:off x="1676400" y="3429000"/>
        <a:ext cx="38100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19</xdr:row>
      <xdr:rowOff>66675</xdr:rowOff>
    </xdr:from>
    <xdr:to>
      <xdr:col>7</xdr:col>
      <xdr:colOff>581025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1428750" y="3781425"/>
        <a:ext cx="31051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161925</xdr:colOff>
      <xdr:row>11</xdr:row>
      <xdr:rowOff>76200</xdr:rowOff>
    </xdr:from>
    <xdr:to>
      <xdr:col>11</xdr:col>
      <xdr:colOff>142875</xdr:colOff>
      <xdr:row>18</xdr:row>
      <xdr:rowOff>95250</xdr:rowOff>
    </xdr:to>
    <xdr:graphicFrame>
      <xdr:nvGraphicFramePr>
        <xdr:cNvPr id="2" name="Chart 6"/>
        <xdr:cNvGraphicFramePr/>
      </xdr:nvGraphicFramePr>
      <xdr:xfrm>
        <a:off x="4857750" y="2266950"/>
        <a:ext cx="2933700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7</xdr:col>
      <xdr:colOff>676275</xdr:colOff>
      <xdr:row>19</xdr:row>
      <xdr:rowOff>9525</xdr:rowOff>
    </xdr:from>
    <xdr:to>
      <xdr:col>11</xdr:col>
      <xdr:colOff>323850</xdr:colOff>
      <xdr:row>28</xdr:row>
      <xdr:rowOff>171450</xdr:rowOff>
    </xdr:to>
    <xdr:graphicFrame>
      <xdr:nvGraphicFramePr>
        <xdr:cNvPr id="3" name="Chart 7"/>
        <xdr:cNvGraphicFramePr/>
      </xdr:nvGraphicFramePr>
      <xdr:xfrm>
        <a:off x="4629150" y="3724275"/>
        <a:ext cx="334327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0.50225</cdr:y>
    </cdr:from>
    <cdr:to>
      <cdr:x>0.53825</cdr:x>
      <cdr:y>0.58825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1162050"/>
          <a:ext cx="133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19</xdr:row>
      <xdr:rowOff>47625</xdr:rowOff>
    </xdr:from>
    <xdr:to>
      <xdr:col>8</xdr:col>
      <xdr:colOff>971550</xdr:colOff>
      <xdr:row>33</xdr:row>
      <xdr:rowOff>104775</xdr:rowOff>
    </xdr:to>
    <xdr:graphicFrame>
      <xdr:nvGraphicFramePr>
        <xdr:cNvPr id="1" name="Chart 6"/>
        <xdr:cNvGraphicFramePr/>
      </xdr:nvGraphicFramePr>
      <xdr:xfrm>
        <a:off x="3552825" y="3762375"/>
        <a:ext cx="2466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20</xdr:row>
      <xdr:rowOff>133350</xdr:rowOff>
    </xdr:from>
    <xdr:to>
      <xdr:col>5</xdr:col>
      <xdr:colOff>400050</xdr:colOff>
      <xdr:row>32</xdr:row>
      <xdr:rowOff>171450</xdr:rowOff>
    </xdr:to>
    <xdr:graphicFrame>
      <xdr:nvGraphicFramePr>
        <xdr:cNvPr id="2" name="Chart 7"/>
        <xdr:cNvGraphicFramePr/>
      </xdr:nvGraphicFramePr>
      <xdr:xfrm>
        <a:off x="85725" y="4038600"/>
        <a:ext cx="322897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</cdr:x>
      <cdr:y>0.5</cdr:y>
    </cdr:from>
    <cdr:to>
      <cdr:x>0.54325</cdr:x>
      <cdr:y>0.6275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7429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133350</xdr:rowOff>
    </xdr:from>
    <xdr:to>
      <xdr:col>8</xdr:col>
      <xdr:colOff>333375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323850" y="3848100"/>
        <a:ext cx="47720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819150</xdr:colOff>
      <xdr:row>20</xdr:row>
      <xdr:rowOff>95250</xdr:rowOff>
    </xdr:from>
    <xdr:to>
      <xdr:col>11</xdr:col>
      <xdr:colOff>895350</xdr:colOff>
      <xdr:row>29</xdr:row>
      <xdr:rowOff>0</xdr:rowOff>
    </xdr:to>
    <xdr:graphicFrame>
      <xdr:nvGraphicFramePr>
        <xdr:cNvPr id="2" name="Chart 11"/>
        <xdr:cNvGraphicFramePr/>
      </xdr:nvGraphicFramePr>
      <xdr:xfrm>
        <a:off x="5581650" y="4000500"/>
        <a:ext cx="33909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857250</xdr:colOff>
      <xdr:row>12</xdr:row>
      <xdr:rowOff>133350</xdr:rowOff>
    </xdr:from>
    <xdr:to>
      <xdr:col>11</xdr:col>
      <xdr:colOff>495300</xdr:colOff>
      <xdr:row>20</xdr:row>
      <xdr:rowOff>104775</xdr:rowOff>
    </xdr:to>
    <xdr:graphicFrame>
      <xdr:nvGraphicFramePr>
        <xdr:cNvPr id="3" name="Chart 12"/>
        <xdr:cNvGraphicFramePr/>
      </xdr:nvGraphicFramePr>
      <xdr:xfrm>
        <a:off x="5619750" y="2514600"/>
        <a:ext cx="2952750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7"/>
  <sheetViews>
    <sheetView view="pageBreakPreview" zoomScaleSheetLayoutView="100" workbookViewId="0" topLeftCell="A4">
      <selection activeCell="C9" sqref="C9"/>
    </sheetView>
  </sheetViews>
  <sheetFormatPr defaultColWidth="11.5546875" defaultRowHeight="15"/>
  <cols>
    <col min="1" max="1" width="1.99609375" style="3" bestFit="1" customWidth="1"/>
    <col min="2" max="2" width="4.99609375" style="3" bestFit="1" customWidth="1"/>
    <col min="3" max="3" width="6.99609375" style="3" bestFit="1" customWidth="1"/>
    <col min="4" max="4" width="5.5546875" style="3" bestFit="1" customWidth="1"/>
    <col min="5" max="5" width="8.6640625" style="3" bestFit="1" customWidth="1"/>
    <col min="6" max="6" width="7.5546875" style="3" bestFit="1" customWidth="1"/>
    <col min="7" max="7" width="8.6640625" style="3" bestFit="1" customWidth="1"/>
    <col min="8" max="8" width="13.10546875" style="3" bestFit="1" customWidth="1"/>
    <col min="9" max="16384" width="11.5546875" style="3" customWidth="1"/>
  </cols>
  <sheetData>
    <row r="1" spans="1:9" ht="15.75">
      <c r="A1" s="24" t="s">
        <v>64</v>
      </c>
      <c r="B1" s="22"/>
      <c r="C1" s="22"/>
      <c r="D1" s="22"/>
      <c r="E1" s="22"/>
      <c r="F1" s="22"/>
      <c r="G1" s="22"/>
      <c r="H1" s="25" t="s">
        <v>61</v>
      </c>
      <c r="I1" s="25"/>
    </row>
    <row r="2" spans="1:8" ht="15.75">
      <c r="A2" s="23" t="s">
        <v>41</v>
      </c>
      <c r="B2" s="23"/>
      <c r="C2" s="23"/>
      <c r="D2" s="23"/>
      <c r="E2" s="23"/>
      <c r="F2" s="23"/>
      <c r="G2" s="23"/>
      <c r="H2" s="23"/>
    </row>
    <row r="3" spans="1:9" ht="15">
      <c r="A3" s="26" t="s">
        <v>65</v>
      </c>
      <c r="B3" s="26"/>
      <c r="C3" s="26"/>
      <c r="D3" s="26"/>
      <c r="E3" s="26"/>
      <c r="F3" s="26"/>
      <c r="G3" s="26"/>
      <c r="H3" s="26"/>
      <c r="I3" s="26"/>
    </row>
    <row r="4" spans="1:9" s="1" customFormat="1" ht="18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14</v>
      </c>
      <c r="I4" s="1" t="s">
        <v>19</v>
      </c>
    </row>
    <row r="5" spans="1:9" s="2" customFormat="1" ht="15">
      <c r="A5" s="2">
        <v>1</v>
      </c>
      <c r="B5" s="11">
        <v>20</v>
      </c>
      <c r="C5" s="12">
        <v>100</v>
      </c>
      <c r="D5" s="2">
        <f>xi-xq</f>
        <v>-15</v>
      </c>
      <c r="E5" s="2">
        <f>(xi-xq)^2</f>
        <v>225</v>
      </c>
      <c r="F5" s="2">
        <f>yi-yq</f>
        <v>-227.5</v>
      </c>
      <c r="G5" s="2">
        <f>(yi-yq)^2</f>
        <v>51756.25</v>
      </c>
      <c r="H5" s="2">
        <f>(xi-xq)*(yi-yq)</f>
        <v>3412.5</v>
      </c>
      <c r="I5" s="2">
        <f>m*xi+b</f>
        <v>80</v>
      </c>
    </row>
    <row r="6" spans="1:9" s="2" customFormat="1" ht="15">
      <c r="A6" s="2">
        <v>2</v>
      </c>
      <c r="B6" s="11">
        <v>30</v>
      </c>
      <c r="C6" s="12">
        <v>230</v>
      </c>
      <c r="D6" s="2">
        <f>xi-xq</f>
        <v>-5</v>
      </c>
      <c r="E6" s="2">
        <f>(xi-xq)^2</f>
        <v>25</v>
      </c>
      <c r="F6" s="2">
        <f>yi-yq</f>
        <v>-97.5</v>
      </c>
      <c r="G6" s="2">
        <f>(yi-yq)^2</f>
        <v>9506.25</v>
      </c>
      <c r="H6" s="2">
        <f>(xi-xq)*(yi-yq)</f>
        <v>487.5</v>
      </c>
      <c r="I6" s="2">
        <f>m*xi+b</f>
        <v>245</v>
      </c>
    </row>
    <row r="7" spans="1:9" s="2" customFormat="1" ht="15">
      <c r="A7" s="2">
        <v>3</v>
      </c>
      <c r="B7" s="11">
        <v>40</v>
      </c>
      <c r="C7" s="12">
        <v>380</v>
      </c>
      <c r="D7" s="2">
        <f>xi-xq</f>
        <v>5</v>
      </c>
      <c r="E7" s="2">
        <f>(xi-xq)^2</f>
        <v>25</v>
      </c>
      <c r="F7" s="2">
        <f>yi-yq</f>
        <v>52.5</v>
      </c>
      <c r="G7" s="2">
        <f>(yi-yq)^2</f>
        <v>2756.25</v>
      </c>
      <c r="H7" s="2">
        <f>(xi-xq)*(yi-yq)</f>
        <v>262.5</v>
      </c>
      <c r="I7" s="2">
        <f>m*xi+b</f>
        <v>410</v>
      </c>
    </row>
    <row r="8" spans="1:9" s="2" customFormat="1" ht="15">
      <c r="A8" s="2">
        <v>4</v>
      </c>
      <c r="B8" s="11">
        <v>50</v>
      </c>
      <c r="C8" s="12">
        <v>600</v>
      </c>
      <c r="D8" s="2">
        <f>xi-xq</f>
        <v>15</v>
      </c>
      <c r="E8" s="2">
        <f>(xi-xq)^2</f>
        <v>225</v>
      </c>
      <c r="F8" s="2">
        <f>yi-yq</f>
        <v>272.5</v>
      </c>
      <c r="G8" s="2">
        <f>(yi-yq)^2</f>
        <v>74256.25</v>
      </c>
      <c r="H8" s="2">
        <f>(xi-xq)*(yi-yq)</f>
        <v>4087.5</v>
      </c>
      <c r="I8" s="2">
        <f>m*xi+b</f>
        <v>575</v>
      </c>
    </row>
    <row r="9" spans="1:8" s="4" customFormat="1" ht="15">
      <c r="A9" s="4">
        <f>A8</f>
        <v>4</v>
      </c>
      <c r="B9" s="4">
        <f aca="true" t="shared" si="0" ref="B9:H9">SUM(B5:B8)</f>
        <v>140</v>
      </c>
      <c r="C9" s="4">
        <f t="shared" si="0"/>
        <v>1310</v>
      </c>
      <c r="D9" s="4">
        <f t="shared" si="0"/>
        <v>0</v>
      </c>
      <c r="E9" s="4">
        <f t="shared" si="0"/>
        <v>500</v>
      </c>
      <c r="F9" s="4">
        <f t="shared" si="0"/>
        <v>0</v>
      </c>
      <c r="G9" s="4">
        <f t="shared" si="0"/>
        <v>138275</v>
      </c>
      <c r="H9" s="4">
        <f t="shared" si="0"/>
        <v>8250</v>
      </c>
    </row>
    <row r="10" spans="2:8" ht="18">
      <c r="B10" s="1" t="s">
        <v>7</v>
      </c>
      <c r="C10" s="1" t="s">
        <v>8</v>
      </c>
      <c r="E10" s="3" t="s">
        <v>11</v>
      </c>
      <c r="G10" s="3" t="s">
        <v>12</v>
      </c>
      <c r="H10" s="3" t="s">
        <v>15</v>
      </c>
    </row>
    <row r="11" spans="2:8" ht="15">
      <c r="B11" s="3">
        <f>B9/n</f>
        <v>35</v>
      </c>
      <c r="C11" s="3">
        <f>C9/n</f>
        <v>327.5</v>
      </c>
      <c r="E11" s="3">
        <f>E9/n</f>
        <v>125</v>
      </c>
      <c r="F11" s="3">
        <f>F9/n</f>
        <v>0</v>
      </c>
      <c r="G11" s="3">
        <f>G9/n</f>
        <v>34568.75</v>
      </c>
      <c r="H11" s="3">
        <f>H9/n</f>
        <v>2062.5</v>
      </c>
    </row>
    <row r="12" spans="2:7" ht="15">
      <c r="B12" s="2"/>
      <c r="E12" s="3" t="s">
        <v>9</v>
      </c>
      <c r="G12" s="3" t="s">
        <v>10</v>
      </c>
    </row>
    <row r="13" spans="5:7" ht="15">
      <c r="E13" s="3">
        <f>SQRT(sx_2)</f>
        <v>11.180339887498949</v>
      </c>
      <c r="G13" s="3">
        <f>SQRT(sy_2)</f>
        <v>185.9267328815305</v>
      </c>
    </row>
    <row r="14" spans="2:5" ht="15">
      <c r="B14" s="22" t="s">
        <v>16</v>
      </c>
      <c r="C14" s="22"/>
      <c r="D14" s="22"/>
      <c r="E14" s="3" t="s">
        <v>13</v>
      </c>
    </row>
    <row r="15" ht="15">
      <c r="E15" s="3">
        <f>sxy/sx/sy</f>
        <v>0.9921951797070382</v>
      </c>
    </row>
    <row r="16" spans="2:5" ht="15">
      <c r="B16" s="3" t="s">
        <v>17</v>
      </c>
      <c r="C16" s="3" t="s">
        <v>18</v>
      </c>
      <c r="D16" s="22" t="s">
        <v>19</v>
      </c>
      <c r="E16" s="22"/>
    </row>
    <row r="17" spans="2:5" ht="15">
      <c r="B17" s="3">
        <f>sxy/sx_2</f>
        <v>16.5</v>
      </c>
      <c r="C17" s="3">
        <f>yq-m*xq</f>
        <v>-250</v>
      </c>
      <c r="D17" s="3" t="s">
        <v>20</v>
      </c>
      <c r="E17" s="5" t="s">
        <v>30</v>
      </c>
    </row>
  </sheetData>
  <mergeCells count="6">
    <mergeCell ref="B14:D14"/>
    <mergeCell ref="D16:E16"/>
    <mergeCell ref="A2:H2"/>
    <mergeCell ref="A1:G1"/>
    <mergeCell ref="H1:I1"/>
    <mergeCell ref="A3:I3"/>
  </mergeCells>
  <printOptions gridLines="1"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K20"/>
  <sheetViews>
    <sheetView workbookViewId="0" topLeftCell="A1">
      <selection activeCell="C23" sqref="C23"/>
    </sheetView>
  </sheetViews>
  <sheetFormatPr defaultColWidth="11.5546875" defaultRowHeight="15"/>
  <cols>
    <col min="1" max="1" width="1.99609375" style="13" customWidth="1"/>
    <col min="2" max="2" width="5.88671875" style="13" customWidth="1"/>
    <col min="3" max="3" width="6.99609375" style="13" customWidth="1"/>
    <col min="4" max="4" width="5.5546875" style="13" customWidth="1"/>
    <col min="5" max="5" width="8.6640625" style="13" customWidth="1"/>
    <col min="6" max="6" width="8.77734375" style="13" customWidth="1"/>
    <col min="7" max="7" width="8.21484375" style="13" bestFit="1" customWidth="1"/>
    <col min="8" max="8" width="8.6640625" style="13" bestFit="1" customWidth="1"/>
    <col min="9" max="9" width="13.10546875" style="13" bestFit="1" customWidth="1"/>
    <col min="10" max="10" width="9.77734375" style="13" customWidth="1"/>
    <col min="11" max="16384" width="11.5546875" style="13" customWidth="1"/>
  </cols>
  <sheetData>
    <row r="1" spans="1:11" ht="15.75">
      <c r="A1" s="30" t="s">
        <v>63</v>
      </c>
      <c r="B1" s="28"/>
      <c r="C1" s="28"/>
      <c r="D1" s="28"/>
      <c r="E1" s="28"/>
      <c r="F1" s="28"/>
      <c r="G1" s="28"/>
      <c r="I1" s="31" t="s">
        <v>61</v>
      </c>
      <c r="J1" s="31"/>
      <c r="K1" s="31"/>
    </row>
    <row r="2" spans="1:10" ht="15.75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</row>
    <row r="3" ht="15">
      <c r="D3" s="13" t="s">
        <v>21</v>
      </c>
    </row>
    <row r="4" spans="1:11" s="14" customFormat="1" ht="18">
      <c r="A4" s="14" t="s">
        <v>0</v>
      </c>
      <c r="B4" s="14" t="s">
        <v>1</v>
      </c>
      <c r="C4" s="14" t="s">
        <v>2</v>
      </c>
      <c r="D4" s="14" t="s">
        <v>22</v>
      </c>
      <c r="E4" s="14" t="s">
        <v>3</v>
      </c>
      <c r="F4" s="14" t="s">
        <v>4</v>
      </c>
      <c r="G4" s="14" t="s">
        <v>24</v>
      </c>
      <c r="H4" s="14" t="s">
        <v>25</v>
      </c>
      <c r="I4" s="14" t="s">
        <v>28</v>
      </c>
      <c r="J4" s="14" t="s">
        <v>19</v>
      </c>
      <c r="K4" s="14" t="s">
        <v>40</v>
      </c>
    </row>
    <row r="5" spans="1:11" s="15" customFormat="1" ht="15">
      <c r="A5" s="15">
        <v>1</v>
      </c>
      <c r="B5" s="16">
        <f>xi</f>
        <v>20</v>
      </c>
      <c r="C5" s="17">
        <f>yi</f>
        <v>100</v>
      </c>
      <c r="D5" s="15">
        <f>LN(yi)</f>
        <v>4.605170185988092</v>
      </c>
      <c r="E5" s="15">
        <f>xi-xq</f>
        <v>-15</v>
      </c>
      <c r="F5" s="18">
        <f>(xi-xq)^2</f>
        <v>225</v>
      </c>
      <c r="G5" s="18">
        <f>zi-zq</f>
        <v>-0.989917414723875</v>
      </c>
      <c r="H5" s="18">
        <f>(zi-zq)^2</f>
        <v>0.9799364879736002</v>
      </c>
      <c r="I5" s="18">
        <f>(xi-xq)*(zi-zq)</f>
        <v>14.848761220858124</v>
      </c>
      <c r="J5" s="18">
        <f>mexp*xi+bexp</f>
        <v>4.713482047989757</v>
      </c>
      <c r="K5" s="18">
        <f>y0*EXP(mexp*xi)</f>
        <v>111.43952287269035</v>
      </c>
    </row>
    <row r="6" spans="1:11" s="15" customFormat="1" ht="15">
      <c r="A6" s="15">
        <v>2</v>
      </c>
      <c r="B6" s="16">
        <f>xi</f>
        <v>30</v>
      </c>
      <c r="C6" s="17">
        <f>yi</f>
        <v>230</v>
      </c>
      <c r="D6" s="15">
        <f>LN(yi)</f>
        <v>5.438079308923196</v>
      </c>
      <c r="E6" s="15">
        <f>xi-xq</f>
        <v>-5</v>
      </c>
      <c r="F6" s="18">
        <f>(xi-xq)^2</f>
        <v>25</v>
      </c>
      <c r="G6" s="18">
        <f>zi-zq</f>
        <v>-0.15700829178877118</v>
      </c>
      <c r="H6" s="18">
        <f>(zi-zq)^2</f>
        <v>0.02465160369042791</v>
      </c>
      <c r="I6" s="18">
        <f>(xi-xq)*(zi-zq)</f>
        <v>0.7850414589438559</v>
      </c>
      <c r="J6" s="18">
        <f>mexp*xi+bexp</f>
        <v>5.301219083137896</v>
      </c>
      <c r="K6" s="18">
        <f>y0*EXP(mexp*xi)</f>
        <v>200.58118612889112</v>
      </c>
    </row>
    <row r="7" spans="1:11" s="15" customFormat="1" ht="15">
      <c r="A7" s="15">
        <v>3</v>
      </c>
      <c r="B7" s="16">
        <f>xi</f>
        <v>40</v>
      </c>
      <c r="C7" s="17">
        <f>yi</f>
        <v>380</v>
      </c>
      <c r="D7" s="15">
        <f>LN(yi)</f>
        <v>5.940171252720432</v>
      </c>
      <c r="E7" s="15">
        <f>xi-xq</f>
        <v>5</v>
      </c>
      <c r="F7" s="18">
        <f>(xi-xq)^2</f>
        <v>25</v>
      </c>
      <c r="G7" s="18">
        <f>zi-zq</f>
        <v>0.3450836520084648</v>
      </c>
      <c r="H7" s="18">
        <f>(zi-zq)^2</f>
        <v>0.11908272688349923</v>
      </c>
      <c r="I7" s="18">
        <f>(xi-xq)*(zi-zq)</f>
        <v>1.725418260042324</v>
      </c>
      <c r="J7" s="18">
        <f>mexp*xi+bexp</f>
        <v>5.888956118286037</v>
      </c>
      <c r="K7" s="18">
        <f>y0*EXP(mexp*xi)</f>
        <v>361.0282168457886</v>
      </c>
    </row>
    <row r="8" spans="1:11" s="15" customFormat="1" ht="15">
      <c r="A8" s="15">
        <v>4</v>
      </c>
      <c r="B8" s="16">
        <f>xi</f>
        <v>50</v>
      </c>
      <c r="C8" s="17">
        <f>yi</f>
        <v>600</v>
      </c>
      <c r="D8" s="15">
        <f>LN(yi)</f>
        <v>6.396929655216146</v>
      </c>
      <c r="E8" s="15">
        <f>xi-xq</f>
        <v>15</v>
      </c>
      <c r="F8" s="18">
        <f>(xi-xq)^2</f>
        <v>225</v>
      </c>
      <c r="G8" s="18">
        <f>zi-zq</f>
        <v>0.8018420545041796</v>
      </c>
      <c r="H8" s="18">
        <f>(zi-zq)^2</f>
        <v>0.6429506803714836</v>
      </c>
      <c r="I8" s="18">
        <f>(xi-xq)*(zi-zq)</f>
        <v>12.027630817562693</v>
      </c>
      <c r="J8" s="18">
        <f>mexp*xi+bexp</f>
        <v>6.4766931534341765</v>
      </c>
      <c r="K8" s="18">
        <f>y0*EXP(mexp*xi)</f>
        <v>649.8185391878874</v>
      </c>
    </row>
    <row r="9" spans="1:10" s="19" customFormat="1" ht="15">
      <c r="A9" s="19">
        <f>A8</f>
        <v>4</v>
      </c>
      <c r="B9" s="19">
        <f aca="true" t="shared" si="0" ref="B9:I9">SUM(B5:B8)</f>
        <v>140</v>
      </c>
      <c r="C9" s="19">
        <f t="shared" si="0"/>
        <v>1310</v>
      </c>
      <c r="D9" s="19">
        <f t="shared" si="0"/>
        <v>22.380350402847867</v>
      </c>
      <c r="E9" s="19">
        <f t="shared" si="0"/>
        <v>0</v>
      </c>
      <c r="F9" s="20">
        <f t="shared" si="0"/>
        <v>500</v>
      </c>
      <c r="G9" s="20">
        <f t="shared" si="0"/>
        <v>-1.7763568394002505E-15</v>
      </c>
      <c r="H9" s="20">
        <f t="shared" si="0"/>
        <v>1.7666214989190112</v>
      </c>
      <c r="I9" s="20">
        <f t="shared" si="0"/>
        <v>29.386851757407</v>
      </c>
      <c r="J9" s="20"/>
    </row>
    <row r="10" spans="2:10" ht="18">
      <c r="B10" s="14" t="s">
        <v>7</v>
      </c>
      <c r="C10" s="14" t="s">
        <v>8</v>
      </c>
      <c r="D10" s="14" t="s">
        <v>23</v>
      </c>
      <c r="F10" s="18" t="s">
        <v>11</v>
      </c>
      <c r="G10" s="18"/>
      <c r="H10" s="18" t="s">
        <v>26</v>
      </c>
      <c r="I10" s="18" t="s">
        <v>29</v>
      </c>
      <c r="J10" s="18"/>
    </row>
    <row r="11" spans="2:10" ht="15">
      <c r="B11" s="13">
        <f>xq</f>
        <v>35</v>
      </c>
      <c r="C11" s="13">
        <f>yq</f>
        <v>327.5</v>
      </c>
      <c r="D11" s="13">
        <f>D9/n</f>
        <v>5.595087600711967</v>
      </c>
      <c r="F11" s="18">
        <f>sx_2</f>
        <v>125</v>
      </c>
      <c r="G11" s="18">
        <f>G9/n</f>
        <v>-4.440892098500626E-16</v>
      </c>
      <c r="H11" s="18">
        <f>H9/n</f>
        <v>0.4416553747297528</v>
      </c>
      <c r="I11" s="18">
        <f>I9/n</f>
        <v>7.34671293935175</v>
      </c>
      <c r="J11" s="18"/>
    </row>
    <row r="12" spans="2:10" ht="15">
      <c r="B12" s="15"/>
      <c r="F12" s="18" t="s">
        <v>9</v>
      </c>
      <c r="G12" s="18"/>
      <c r="H12" s="18" t="s">
        <v>27</v>
      </c>
      <c r="I12" s="18"/>
      <c r="J12" s="18"/>
    </row>
    <row r="13" spans="6:10" ht="15">
      <c r="F13" s="18">
        <f>SQRT(sx_2)</f>
        <v>11.180339887498949</v>
      </c>
      <c r="G13" s="18"/>
      <c r="H13" s="18">
        <f>SQRT(sz_2)</f>
        <v>0.6645715723153924</v>
      </c>
      <c r="I13" s="18"/>
      <c r="J13" s="18"/>
    </row>
    <row r="14" spans="2:7" ht="15">
      <c r="B14" s="28" t="s">
        <v>32</v>
      </c>
      <c r="C14" s="28"/>
      <c r="D14" s="28"/>
      <c r="E14" s="13" t="s">
        <v>13</v>
      </c>
      <c r="G14" s="13" t="s">
        <v>66</v>
      </c>
    </row>
    <row r="15" spans="5:8" ht="15">
      <c r="E15" s="13">
        <f>sxz/sx/sz</f>
        <v>0.9887723295977228</v>
      </c>
      <c r="G15" s="13">
        <f>B5</f>
        <v>20</v>
      </c>
      <c r="H15" s="13">
        <f>2000*EXP(-0.6*G15)</f>
        <v>0.01228842470665642</v>
      </c>
    </row>
    <row r="16" spans="2:8" ht="15">
      <c r="B16" s="13" t="s">
        <v>31</v>
      </c>
      <c r="C16" s="13" t="s">
        <v>33</v>
      </c>
      <c r="D16" s="28" t="s">
        <v>19</v>
      </c>
      <c r="E16" s="28"/>
      <c r="G16" s="13">
        <f>B6</f>
        <v>30</v>
      </c>
      <c r="H16" s="13">
        <f>2000*EXP(-0.6*G16)</f>
        <v>3.0459959489425257E-05</v>
      </c>
    </row>
    <row r="17" spans="2:8" ht="15">
      <c r="B17" s="13">
        <f>sxz/sx_2</f>
        <v>0.058773703514814</v>
      </c>
      <c r="C17" s="13">
        <f>zq-mexp*xq</f>
        <v>3.5380079776934767</v>
      </c>
      <c r="D17" s="13" t="s">
        <v>34</v>
      </c>
      <c r="E17" s="27" t="s">
        <v>35</v>
      </c>
      <c r="F17" s="27"/>
      <c r="G17" s="13">
        <f>B7</f>
        <v>40</v>
      </c>
      <c r="H17" s="13">
        <f>2000*EXP(-0.6*G17)</f>
        <v>7.550269088558196E-08</v>
      </c>
    </row>
    <row r="18" spans="3:8" ht="15">
      <c r="C18" s="13" t="s">
        <v>73</v>
      </c>
      <c r="D18" s="28" t="s">
        <v>36</v>
      </c>
      <c r="E18" s="28"/>
      <c r="F18" s="28"/>
      <c r="G18" s="13">
        <f>B8</f>
        <v>50</v>
      </c>
      <c r="H18" s="13">
        <f>2000*EXP(-0.6*G18)</f>
        <v>1.871524593768035E-10</v>
      </c>
    </row>
    <row r="19" spans="2:5" ht="15">
      <c r="B19" s="13" t="s">
        <v>39</v>
      </c>
      <c r="C19" s="13" t="s">
        <v>38</v>
      </c>
      <c r="D19" s="13" t="s">
        <v>20</v>
      </c>
      <c r="E19" s="21" t="s">
        <v>37</v>
      </c>
    </row>
    <row r="20" spans="2:3" ht="15">
      <c r="B20" s="13">
        <f>mexp</f>
        <v>0.058773703514814</v>
      </c>
      <c r="C20" s="13">
        <f>EXP(bexp)</f>
        <v>34.39832865860867</v>
      </c>
    </row>
  </sheetData>
  <mergeCells count="7">
    <mergeCell ref="E17:F17"/>
    <mergeCell ref="D18:F18"/>
    <mergeCell ref="A2:J2"/>
    <mergeCell ref="A1:G1"/>
    <mergeCell ref="I1:K1"/>
    <mergeCell ref="B14:D14"/>
    <mergeCell ref="D16:E16"/>
  </mergeCells>
  <printOptions gridLines="1"/>
  <pageMargins left="0.75" right="0.75" top="1" bottom="1" header="0.4921259845" footer="0.4921259845"/>
  <pageSetup horizontalDpi="300" verticalDpi="300" orientation="landscape" paperSize="9" scale="97" r:id="rId4"/>
  <rowBreaks count="1" manualBreakCount="1">
    <brk id="30" max="1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3">
      <selection activeCell="B17" sqref="B17"/>
    </sheetView>
  </sheetViews>
  <sheetFormatPr defaultColWidth="11.5546875" defaultRowHeight="15"/>
  <cols>
    <col min="1" max="1" width="1.99609375" style="3" customWidth="1"/>
    <col min="2" max="2" width="6.99609375" style="3" customWidth="1"/>
    <col min="3" max="3" width="7.4453125" style="3" customWidth="1"/>
    <col min="4" max="4" width="8.88671875" style="3" customWidth="1"/>
    <col min="5" max="5" width="8.6640625" style="3" customWidth="1"/>
    <col min="6" max="6" width="7.5546875" style="3" customWidth="1"/>
    <col min="7" max="8" width="8.6640625" style="3" customWidth="1"/>
    <col min="9" max="9" width="13.10546875" style="3" customWidth="1"/>
    <col min="10" max="10" width="13.99609375" style="3" customWidth="1"/>
    <col min="11" max="13" width="11.5546875" style="3" customWidth="1"/>
    <col min="14" max="14" width="19.77734375" style="3" customWidth="1"/>
    <col min="15" max="16384" width="11.5546875" style="3" customWidth="1"/>
  </cols>
  <sheetData>
    <row r="1" spans="1:9" ht="15.75">
      <c r="A1" s="24" t="s">
        <v>71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72</v>
      </c>
      <c r="B2" s="24"/>
      <c r="C2" s="24"/>
      <c r="D2" s="24"/>
      <c r="E2" s="24"/>
      <c r="F2" s="24"/>
      <c r="G2" s="24"/>
      <c r="H2" s="24"/>
      <c r="I2" s="24"/>
    </row>
    <row r="3" spans="5:9" ht="15">
      <c r="E3" s="3" t="s">
        <v>21</v>
      </c>
      <c r="G3" s="25" t="s">
        <v>74</v>
      </c>
      <c r="H3" s="25"/>
      <c r="I3" s="25"/>
    </row>
    <row r="4" spans="1:9" s="1" customFormat="1" ht="18">
      <c r="A4" s="1" t="s">
        <v>0</v>
      </c>
      <c r="B4" s="1" t="s">
        <v>1</v>
      </c>
      <c r="C4" s="1" t="s">
        <v>2</v>
      </c>
      <c r="D4" s="1" t="s">
        <v>43</v>
      </c>
      <c r="E4" s="1" t="s">
        <v>22</v>
      </c>
      <c r="F4" s="1" t="s">
        <v>67</v>
      </c>
      <c r="G4" s="1" t="s">
        <v>68</v>
      </c>
      <c r="H4" s="1" t="s">
        <v>19</v>
      </c>
      <c r="I4" s="1" t="s">
        <v>56</v>
      </c>
    </row>
    <row r="5" spans="1:10" s="2" customFormat="1" ht="15">
      <c r="A5" s="2">
        <v>1</v>
      </c>
      <c r="B5" s="6">
        <f>xi</f>
        <v>20</v>
      </c>
      <c r="C5" s="7">
        <f>yi</f>
        <v>100</v>
      </c>
      <c r="D5" s="2">
        <f>LN(xi)</f>
        <v>2.995732273553991</v>
      </c>
      <c r="E5" s="2">
        <f>LN(yi)</f>
        <v>4.605170185988092</v>
      </c>
      <c r="F5" s="2">
        <f>wi^2</f>
        <v>8.974411854812963</v>
      </c>
      <c r="G5" s="8">
        <f>(wi*zi)</f>
        <v>13.79585695137316</v>
      </c>
      <c r="H5" s="8">
        <f>mpot*wi+bpot</f>
        <v>4.618447954672696</v>
      </c>
      <c r="I5" s="8">
        <f>a*xi^p</f>
        <v>101.3366309696933</v>
      </c>
      <c r="J5" s="8"/>
    </row>
    <row r="6" spans="1:10" s="2" customFormat="1" ht="15">
      <c r="A6" s="2">
        <v>2</v>
      </c>
      <c r="B6" s="6">
        <f>xi</f>
        <v>30</v>
      </c>
      <c r="C6" s="7">
        <f>yi</f>
        <v>230</v>
      </c>
      <c r="D6" s="2">
        <f>LN(xi)</f>
        <v>3.4011973816621555</v>
      </c>
      <c r="E6" s="2">
        <f>LN(yi)</f>
        <v>5.438079308923196</v>
      </c>
      <c r="F6" s="2">
        <f>wi^2</f>
        <v>11.568143629025503</v>
      </c>
      <c r="G6" s="8">
        <f>(wi*zi)</f>
        <v>18.495981106780718</v>
      </c>
      <c r="H6" s="8">
        <f>mpot*wi+bpot</f>
        <v>5.404576707524454</v>
      </c>
      <c r="I6" s="8">
        <f>a*xi^p</f>
        <v>222.42205097402652</v>
      </c>
      <c r="J6" s="8"/>
    </row>
    <row r="7" spans="1:10" s="2" customFormat="1" ht="15">
      <c r="A7" s="2">
        <v>3</v>
      </c>
      <c r="B7" s="6">
        <f>xi</f>
        <v>40</v>
      </c>
      <c r="C7" s="7">
        <f>yi</f>
        <v>380</v>
      </c>
      <c r="D7" s="2">
        <f>LN(xi)</f>
        <v>3.6888794541139363</v>
      </c>
      <c r="E7" s="2">
        <f>LN(yi)</f>
        <v>5.940171252720432</v>
      </c>
      <c r="F7" s="2">
        <f>wi^2</f>
        <v>13.607831626983932</v>
      </c>
      <c r="G7" s="8">
        <f>(wi*zi)</f>
        <v>21.912575688078643</v>
      </c>
      <c r="H7" s="8">
        <f>mpot*wi+bpot</f>
        <v>5.962343934128812</v>
      </c>
      <c r="I7" s="8">
        <f>a*xi^p</f>
        <v>388.5197224393451</v>
      </c>
      <c r="J7" s="8"/>
    </row>
    <row r="8" spans="1:10" s="2" customFormat="1" ht="15">
      <c r="A8" s="2">
        <v>4</v>
      </c>
      <c r="B8" s="6">
        <f>xi</f>
        <v>50</v>
      </c>
      <c r="C8" s="7">
        <f>yi</f>
        <v>600</v>
      </c>
      <c r="D8" s="2">
        <f>LN(xi)</f>
        <v>3.912023005428146</v>
      </c>
      <c r="E8" s="2">
        <f>LN(yi)</f>
        <v>6.396929655216146</v>
      </c>
      <c r="F8" s="2">
        <f>wi^2</f>
        <v>15.303923994999064</v>
      </c>
      <c r="G8" s="8">
        <f>(wi*zi)</f>
        <v>25.024935975311102</v>
      </c>
      <c r="H8" s="8">
        <f>mpot*wi+bpot</f>
        <v>6.394981806521905</v>
      </c>
      <c r="I8" s="8">
        <f>a*xi^p</f>
        <v>598.8324282791393</v>
      </c>
      <c r="J8" s="8"/>
    </row>
    <row r="9" spans="1:10" s="4" customFormat="1" ht="15">
      <c r="A9" s="4">
        <f>A8</f>
        <v>4</v>
      </c>
      <c r="B9" s="4">
        <f>SUM(xi)</f>
        <v>140</v>
      </c>
      <c r="C9" s="4">
        <f>SUM(yi)</f>
        <v>1310</v>
      </c>
      <c r="D9" s="4">
        <f>SUM(wi)</f>
        <v>13.997832114758229</v>
      </c>
      <c r="E9" s="4">
        <f>SUM(zi)</f>
        <v>22.380350402847867</v>
      </c>
      <c r="F9" s="4">
        <f>SUM(F5:F8)</f>
        <v>49.45431110582146</v>
      </c>
      <c r="G9" s="9">
        <f>SUM(G5:G8)</f>
        <v>79.22934972154363</v>
      </c>
      <c r="H9" s="9"/>
      <c r="J9" s="9"/>
    </row>
    <row r="10" spans="2:11" ht="18">
      <c r="B10" s="1" t="s">
        <v>7</v>
      </c>
      <c r="C10" s="1" t="s">
        <v>8</v>
      </c>
      <c r="D10" s="10" t="s">
        <v>44</v>
      </c>
      <c r="E10" s="1" t="s">
        <v>23</v>
      </c>
      <c r="G10" s="8"/>
      <c r="H10" s="8"/>
      <c r="I10" s="8"/>
      <c r="J10" s="8"/>
      <c r="K10" s="8"/>
    </row>
    <row r="11" spans="2:11" ht="15">
      <c r="B11" s="3">
        <f>xq</f>
        <v>35</v>
      </c>
      <c r="C11" s="3">
        <f>yq</f>
        <v>327.5</v>
      </c>
      <c r="D11" s="3">
        <f>SUM(wi)/n</f>
        <v>3.499458028689557</v>
      </c>
      <c r="E11" s="3">
        <f>SUM(zi)/n</f>
        <v>5.595087600711967</v>
      </c>
      <c r="G11" s="8"/>
      <c r="H11" s="8"/>
      <c r="I11" s="8"/>
      <c r="J11" s="8"/>
      <c r="K11" s="8"/>
    </row>
    <row r="12" spans="2:11" ht="15">
      <c r="B12" s="2"/>
      <c r="G12" s="8"/>
      <c r="H12" s="8"/>
      <c r="I12" s="8"/>
      <c r="J12" s="8"/>
      <c r="K12" s="8"/>
    </row>
    <row r="13" spans="7:11" ht="15">
      <c r="G13" s="8"/>
      <c r="H13" s="8"/>
      <c r="I13" s="8"/>
      <c r="J13" s="8"/>
      <c r="K13" s="8"/>
    </row>
    <row r="14" spans="2:9" ht="15">
      <c r="B14" s="22" t="s">
        <v>59</v>
      </c>
      <c r="C14" s="22"/>
      <c r="D14" s="22"/>
      <c r="E14" s="3" t="s">
        <v>13</v>
      </c>
      <c r="G14" s="3" t="s">
        <v>66</v>
      </c>
      <c r="I14" s="3" t="s">
        <v>69</v>
      </c>
    </row>
    <row r="15" spans="2:9" ht="15">
      <c r="B15" s="22" t="s">
        <v>75</v>
      </c>
      <c r="C15" s="22"/>
      <c r="D15" s="22"/>
      <c r="E15" s="3">
        <f>swz/sw/sz</f>
        <v>0.9994920810388183</v>
      </c>
      <c r="G15" s="13">
        <f>B5</f>
        <v>20</v>
      </c>
      <c r="H15" s="13">
        <f>a*POWER(G15,p)</f>
        <v>101.3366309696933</v>
      </c>
      <c r="I15" s="3">
        <f>(n*G9-D9*E9)/(n*F9-D9^2)</f>
        <v>1.938832065031962</v>
      </c>
    </row>
    <row r="16" spans="2:9" ht="15">
      <c r="B16" s="3" t="s">
        <v>50</v>
      </c>
      <c r="C16" s="3" t="s">
        <v>51</v>
      </c>
      <c r="D16" s="22" t="s">
        <v>19</v>
      </c>
      <c r="E16" s="22"/>
      <c r="G16" s="13">
        <f>B6</f>
        <v>30</v>
      </c>
      <c r="H16" s="13">
        <f>a*POWER(G16,p)</f>
        <v>222.42205097402652</v>
      </c>
      <c r="I16" s="3" t="s">
        <v>70</v>
      </c>
    </row>
    <row r="17" spans="2:9" ht="15">
      <c r="B17" s="3">
        <f>swz/sw_2</f>
        <v>1.9388320650319546</v>
      </c>
      <c r="C17" s="3">
        <f>zq-mpot*wq</f>
        <v>-1.1897738355448606</v>
      </c>
      <c r="D17" s="3" t="s">
        <v>34</v>
      </c>
      <c r="E17" s="32" t="s">
        <v>58</v>
      </c>
      <c r="F17" s="32"/>
      <c r="G17" s="13">
        <f>B7</f>
        <v>40</v>
      </c>
      <c r="H17" s="13">
        <f>a*POWER(G17,p)</f>
        <v>388.5197224393451</v>
      </c>
      <c r="I17" s="3">
        <f>E11-mp*D11</f>
        <v>-1.1897738355448864</v>
      </c>
    </row>
    <row r="18" spans="3:8" ht="15">
      <c r="C18" s="3" t="s">
        <v>54</v>
      </c>
      <c r="D18" s="22" t="s">
        <v>52</v>
      </c>
      <c r="E18" s="22"/>
      <c r="F18" s="22"/>
      <c r="G18" s="13">
        <f>B8</f>
        <v>50</v>
      </c>
      <c r="H18" s="13">
        <f>a*POWER(G18,p)</f>
        <v>598.8324282791393</v>
      </c>
    </row>
    <row r="19" spans="2:5" ht="15">
      <c r="B19" s="3" t="s">
        <v>53</v>
      </c>
      <c r="C19" s="3" t="s">
        <v>55</v>
      </c>
      <c r="D19" s="3" t="s">
        <v>20</v>
      </c>
      <c r="E19" s="5" t="s">
        <v>60</v>
      </c>
    </row>
    <row r="20" spans="2:3" ht="15">
      <c r="B20" s="3">
        <f>mpot</f>
        <v>1.9388320650319546</v>
      </c>
      <c r="C20" s="3">
        <f>EXP(bpot)</f>
        <v>0.3042900758842338</v>
      </c>
    </row>
  </sheetData>
  <mergeCells count="8">
    <mergeCell ref="D16:E16"/>
    <mergeCell ref="E17:F17"/>
    <mergeCell ref="D18:F18"/>
    <mergeCell ref="A1:I1"/>
    <mergeCell ref="G3:I3"/>
    <mergeCell ref="A2:I2"/>
    <mergeCell ref="B14:D14"/>
    <mergeCell ref="B15:D15"/>
  </mergeCells>
  <printOptions gridLines="1"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L20"/>
  <sheetViews>
    <sheetView tabSelected="1" view="pageBreakPreview" zoomScaleNormal="50" zoomScaleSheetLayoutView="100" workbookViewId="0" topLeftCell="A3">
      <selection activeCell="I19" sqref="I19"/>
    </sheetView>
  </sheetViews>
  <sheetFormatPr defaultColWidth="11.5546875" defaultRowHeight="15"/>
  <cols>
    <col min="1" max="1" width="1.99609375" style="3" customWidth="1"/>
    <col min="2" max="2" width="6.99609375" style="3" customWidth="1"/>
    <col min="3" max="3" width="7.4453125" style="3" customWidth="1"/>
    <col min="4" max="4" width="5.5546875" style="3" customWidth="1"/>
    <col min="5" max="5" width="8.6640625" style="3" customWidth="1"/>
    <col min="6" max="6" width="7.5546875" style="3" customWidth="1"/>
    <col min="7" max="7" width="8.6640625" style="3" bestFit="1" customWidth="1"/>
    <col min="8" max="8" width="8.6640625" style="3" customWidth="1"/>
    <col min="9" max="9" width="13.10546875" style="3" customWidth="1"/>
    <col min="10" max="10" width="13.99609375" style="3" bestFit="1" customWidth="1"/>
    <col min="11" max="13" width="11.5546875" style="3" customWidth="1"/>
    <col min="14" max="14" width="19.77734375" style="3" customWidth="1"/>
    <col min="15" max="16384" width="11.5546875" style="3" customWidth="1"/>
  </cols>
  <sheetData>
    <row r="1" spans="1:12" ht="15.75">
      <c r="A1" s="24" t="s">
        <v>62</v>
      </c>
      <c r="B1" s="22"/>
      <c r="C1" s="22"/>
      <c r="D1" s="22"/>
      <c r="E1" s="22"/>
      <c r="F1" s="22"/>
      <c r="G1" s="22"/>
      <c r="J1" s="25" t="s">
        <v>61</v>
      </c>
      <c r="K1" s="25"/>
      <c r="L1" s="25"/>
    </row>
    <row r="2" spans="1:10" ht="15.7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</row>
    <row r="3" ht="15">
      <c r="E3" s="3" t="s">
        <v>21</v>
      </c>
    </row>
    <row r="4" spans="1:12" s="1" customFormat="1" ht="18">
      <c r="A4" s="1" t="s">
        <v>0</v>
      </c>
      <c r="B4" s="1" t="s">
        <v>1</v>
      </c>
      <c r="C4" s="1" t="s">
        <v>2</v>
      </c>
      <c r="D4" s="1" t="s">
        <v>43</v>
      </c>
      <c r="E4" s="1" t="s">
        <v>22</v>
      </c>
      <c r="F4" s="1" t="s">
        <v>45</v>
      </c>
      <c r="G4" s="1" t="s">
        <v>47</v>
      </c>
      <c r="H4" s="1" t="s">
        <v>24</v>
      </c>
      <c r="I4" s="1" t="s">
        <v>25</v>
      </c>
      <c r="J4" s="1" t="s">
        <v>46</v>
      </c>
      <c r="K4" s="1" t="s">
        <v>19</v>
      </c>
      <c r="L4" s="1" t="s">
        <v>56</v>
      </c>
    </row>
    <row r="5" spans="1:12" s="2" customFormat="1" ht="15">
      <c r="A5" s="2">
        <v>1</v>
      </c>
      <c r="B5" s="6">
        <f>xi</f>
        <v>20</v>
      </c>
      <c r="C5" s="7">
        <f>yi</f>
        <v>100</v>
      </c>
      <c r="D5" s="2">
        <f>LN(xi)</f>
        <v>2.995732273553991</v>
      </c>
      <c r="E5" s="2">
        <f>LN(yi)</f>
        <v>4.605170185988092</v>
      </c>
      <c r="F5" s="2">
        <f>wi-wq</f>
        <v>-0.5037257551355663</v>
      </c>
      <c r="G5" s="8">
        <f>(wi-wq)^2</f>
        <v>0.25373963638689645</v>
      </c>
      <c r="H5" s="8">
        <f>zi-zq</f>
        <v>-0.989917414723875</v>
      </c>
      <c r="I5" s="8">
        <f>(zi-zq)^2</f>
        <v>0.9799364879736002</v>
      </c>
      <c r="J5" s="8">
        <f>(wi-wq)*(zi-zq)</f>
        <v>0.4986468972536314</v>
      </c>
      <c r="K5" s="8">
        <f>mpot*wi+bpot</f>
        <v>4.618447954672696</v>
      </c>
      <c r="L5" s="8">
        <f>a*xi^p</f>
        <v>101.3366309696933</v>
      </c>
    </row>
    <row r="6" spans="1:12" s="2" customFormat="1" ht="15">
      <c r="A6" s="2">
        <v>2</v>
      </c>
      <c r="B6" s="6">
        <f>xi</f>
        <v>30</v>
      </c>
      <c r="C6" s="7">
        <f>yi</f>
        <v>230</v>
      </c>
      <c r="D6" s="2">
        <f>LN(xi)</f>
        <v>3.4011973816621555</v>
      </c>
      <c r="E6" s="2">
        <f>LN(yi)</f>
        <v>5.438079308923196</v>
      </c>
      <c r="F6" s="2">
        <f>wi-wq</f>
        <v>-0.09826064702740167</v>
      </c>
      <c r="G6" s="8">
        <f>(wi-wq)^2</f>
        <v>0.009655154754243622</v>
      </c>
      <c r="H6" s="8">
        <f>zi-zq</f>
        <v>-0.15700829178877118</v>
      </c>
      <c r="I6" s="8">
        <f>(zi-zq)^2</f>
        <v>0.02465160369042791</v>
      </c>
      <c r="J6" s="8">
        <f>(wi-wq)*(zi-zq)</f>
        <v>0.015427736339831733</v>
      </c>
      <c r="K6" s="8">
        <f>mpot*wi+bpot</f>
        <v>5.404576707524454</v>
      </c>
      <c r="L6" s="8">
        <f>a*xi^p</f>
        <v>222.42205097402652</v>
      </c>
    </row>
    <row r="7" spans="1:12" s="2" customFormat="1" ht="15">
      <c r="A7" s="2">
        <v>3</v>
      </c>
      <c r="B7" s="6">
        <f>xi</f>
        <v>40</v>
      </c>
      <c r="C7" s="7">
        <f>yi</f>
        <v>380</v>
      </c>
      <c r="D7" s="2">
        <f>LN(xi)</f>
        <v>3.6888794541139363</v>
      </c>
      <c r="E7" s="2">
        <f>LN(yi)</f>
        <v>5.940171252720432</v>
      </c>
      <c r="F7" s="2">
        <f>wi-wq</f>
        <v>0.18942142542437912</v>
      </c>
      <c r="G7" s="8">
        <f>(wi-wq)^2</f>
        <v>0.03588047640980362</v>
      </c>
      <c r="H7" s="8">
        <f>zi-zq</f>
        <v>0.3450836520084648</v>
      </c>
      <c r="I7" s="8">
        <f>(zi-zq)^2</f>
        <v>0.11908272688349923</v>
      </c>
      <c r="J7" s="8">
        <f>(wi-wq)*(zi-zq)</f>
        <v>0.06536623725409381</v>
      </c>
      <c r="K7" s="8">
        <f>mpot*wi+bpot</f>
        <v>5.962343934128812</v>
      </c>
      <c r="L7" s="8">
        <f>a*xi^p</f>
        <v>388.5197224393451</v>
      </c>
    </row>
    <row r="8" spans="1:12" s="2" customFormat="1" ht="15">
      <c r="A8" s="2">
        <v>4</v>
      </c>
      <c r="B8" s="6">
        <f>xi</f>
        <v>50</v>
      </c>
      <c r="C8" s="7">
        <f>yi</f>
        <v>600</v>
      </c>
      <c r="D8" s="2">
        <f>LN(xi)</f>
        <v>3.912023005428146</v>
      </c>
      <c r="E8" s="2">
        <f>LN(yi)</f>
        <v>6.396929655216146</v>
      </c>
      <c r="F8" s="2">
        <f>wi-wq</f>
        <v>0.41256497673858883</v>
      </c>
      <c r="G8" s="8">
        <f>(wi-wq)^2</f>
        <v>0.17020986003131233</v>
      </c>
      <c r="H8" s="8">
        <f>zi-zq</f>
        <v>0.8018420545041796</v>
      </c>
      <c r="I8" s="8">
        <f>(zi-zq)^2</f>
        <v>0.6429506803714836</v>
      </c>
      <c r="J8" s="8">
        <f>(wi-wq)*(zi-zq)</f>
        <v>0.3308119485645391</v>
      </c>
      <c r="K8" s="8">
        <f>mpot*wi+bpot</f>
        <v>6.394981806521905</v>
      </c>
      <c r="L8" s="8">
        <f>a*xi^p</f>
        <v>598.8324282791393</v>
      </c>
    </row>
    <row r="9" spans="1:11" s="4" customFormat="1" ht="15">
      <c r="A9" s="4">
        <f>A8</f>
        <v>4</v>
      </c>
      <c r="B9" s="4">
        <f>SUM(xi)</f>
        <v>140</v>
      </c>
      <c r="C9" s="4">
        <f>SUM(yi)</f>
        <v>1310</v>
      </c>
      <c r="D9" s="4">
        <f>SUM(wi)</f>
        <v>13.997832114758229</v>
      </c>
      <c r="E9" s="4">
        <f>SUM(zi)</f>
        <v>22.380350402847867</v>
      </c>
      <c r="F9" s="4">
        <f>SUM(F5:F8)</f>
        <v>0</v>
      </c>
      <c r="G9" s="9">
        <f>SUM(G5:G8)</f>
        <v>0.469485127582256</v>
      </c>
      <c r="H9" s="9">
        <f>SUM(H5:H8)</f>
        <v>-1.7763568394002505E-15</v>
      </c>
      <c r="I9" s="9">
        <f>SUM(I5:I8)</f>
        <v>1.7666214989190112</v>
      </c>
      <c r="J9" s="9">
        <f>SUM(J5:J8)</f>
        <v>0.9102528194120961</v>
      </c>
      <c r="K9" s="9"/>
    </row>
    <row r="10" spans="2:11" ht="18">
      <c r="B10" s="1" t="s">
        <v>7</v>
      </c>
      <c r="C10" s="1" t="s">
        <v>8</v>
      </c>
      <c r="D10" s="10" t="s">
        <v>44</v>
      </c>
      <c r="E10" s="1" t="s">
        <v>23</v>
      </c>
      <c r="G10" s="8" t="s">
        <v>49</v>
      </c>
      <c r="H10" s="8"/>
      <c r="I10" s="8" t="s">
        <v>26</v>
      </c>
      <c r="J10" s="8" t="s">
        <v>48</v>
      </c>
      <c r="K10" s="8"/>
    </row>
    <row r="11" spans="2:11" ht="15">
      <c r="B11" s="3">
        <f>xq</f>
        <v>35</v>
      </c>
      <c r="C11" s="3">
        <f>yq</f>
        <v>327.5</v>
      </c>
      <c r="D11" s="3">
        <f>SUM(wi)/n</f>
        <v>3.499458028689557</v>
      </c>
      <c r="E11" s="3">
        <f>zq</f>
        <v>5.595087600711967</v>
      </c>
      <c r="G11" s="8">
        <f>G9/n</f>
        <v>0.117371281895564</v>
      </c>
      <c r="H11" s="8">
        <f>H9/n</f>
        <v>-4.440892098500626E-16</v>
      </c>
      <c r="I11" s="8">
        <f>sz_2</f>
        <v>0.4416553747297528</v>
      </c>
      <c r="J11" s="8">
        <f>J9/n</f>
        <v>0.22756320485302403</v>
      </c>
      <c r="K11" s="8"/>
    </row>
    <row r="12" spans="2:11" ht="15">
      <c r="B12" s="2"/>
      <c r="G12" s="8" t="s">
        <v>57</v>
      </c>
      <c r="H12" s="8"/>
      <c r="I12" s="8" t="s">
        <v>27</v>
      </c>
      <c r="J12" s="8"/>
      <c r="K12" s="8"/>
    </row>
    <row r="13" spans="7:11" ht="15">
      <c r="G13" s="8">
        <f>SQRT(sw_2)</f>
        <v>0.3425949239197277</v>
      </c>
      <c r="H13" s="8"/>
      <c r="I13" s="8">
        <f>sz</f>
        <v>0.6645715723153924</v>
      </c>
      <c r="J13" s="8"/>
      <c r="K13" s="8"/>
    </row>
    <row r="14" spans="2:7" ht="15">
      <c r="B14" s="22" t="s">
        <v>59</v>
      </c>
      <c r="C14" s="22"/>
      <c r="D14" s="22"/>
      <c r="E14" s="3" t="s">
        <v>13</v>
      </c>
      <c r="G14" s="3" t="s">
        <v>66</v>
      </c>
    </row>
    <row r="15" spans="5:8" ht="15">
      <c r="E15" s="3">
        <f>swz/sw/sz</f>
        <v>0.9994920810388183</v>
      </c>
      <c r="G15" s="13">
        <f>B5</f>
        <v>20</v>
      </c>
      <c r="H15" s="13">
        <f>a*POWER(G15,p)</f>
        <v>101.3366309696933</v>
      </c>
    </row>
    <row r="16" spans="2:8" ht="15">
      <c r="B16" s="3" t="s">
        <v>50</v>
      </c>
      <c r="C16" s="3" t="s">
        <v>51</v>
      </c>
      <c r="D16" s="22" t="s">
        <v>19</v>
      </c>
      <c r="E16" s="22"/>
      <c r="G16" s="13">
        <f>B6</f>
        <v>30</v>
      </c>
      <c r="H16" s="13">
        <f>a*POWER(G16,p)</f>
        <v>222.42205097402652</v>
      </c>
    </row>
    <row r="17" spans="2:8" ht="15">
      <c r="B17" s="3">
        <f>swz/sw_2</f>
        <v>1.9388320650319546</v>
      </c>
      <c r="C17" s="3">
        <f>zq-mpot*wq</f>
        <v>-1.1897738355448606</v>
      </c>
      <c r="D17" s="3" t="s">
        <v>34</v>
      </c>
      <c r="E17" s="32" t="s">
        <v>58</v>
      </c>
      <c r="F17" s="32"/>
      <c r="G17" s="13">
        <f>B7</f>
        <v>40</v>
      </c>
      <c r="H17" s="13">
        <f>a*POWER(G17,p)</f>
        <v>388.5197224393451</v>
      </c>
    </row>
    <row r="18" spans="3:8" ht="15">
      <c r="C18" s="3" t="s">
        <v>54</v>
      </c>
      <c r="D18" s="22" t="s">
        <v>52</v>
      </c>
      <c r="E18" s="22"/>
      <c r="F18" s="22"/>
      <c r="G18" s="13">
        <f>B8</f>
        <v>50</v>
      </c>
      <c r="H18" s="13">
        <f>a*POWER(G18,p)</f>
        <v>598.8324282791393</v>
      </c>
    </row>
    <row r="19" spans="2:5" ht="15">
      <c r="B19" s="3" t="s">
        <v>53</v>
      </c>
      <c r="C19" s="3" t="s">
        <v>55</v>
      </c>
      <c r="D19" s="3" t="s">
        <v>20</v>
      </c>
      <c r="E19" s="5" t="s">
        <v>60</v>
      </c>
    </row>
    <row r="20" spans="2:3" ht="15">
      <c r="B20" s="3">
        <f>mpot</f>
        <v>1.9388320650319546</v>
      </c>
      <c r="C20" s="3">
        <f>EXP(bpot)</f>
        <v>0.3042900758842338</v>
      </c>
    </row>
  </sheetData>
  <mergeCells count="7">
    <mergeCell ref="D18:F18"/>
    <mergeCell ref="A1:G1"/>
    <mergeCell ref="J1:L1"/>
    <mergeCell ref="A2:J2"/>
    <mergeCell ref="B14:D14"/>
    <mergeCell ref="D16:E16"/>
    <mergeCell ref="E17:F17"/>
  </mergeCells>
  <printOptions gridLines="1"/>
  <pageMargins left="0.75" right="0.75" top="1" bottom="1" header="0.4921259845" footer="0.4921259845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Dörte Haftendorn</dc:creator>
  <cp:keywords/>
  <dc:description/>
  <cp:lastModifiedBy>Dr. Dörte Haftendorn</cp:lastModifiedBy>
  <cp:lastPrinted>2002-03-06T00:00:23Z</cp:lastPrinted>
  <dcterms:created xsi:type="dcterms:W3CDTF">2000-11-02T01:20:18Z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